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nchong/Documents/Work/DUS/Plan of Study spreadsheet/"/>
    </mc:Choice>
  </mc:AlternateContent>
  <xr:revisionPtr revIDLastSave="0" documentId="13_ncr:1_{CCCF120A-9A7C-1B4F-B71C-4DDFC868A464}" xr6:coauthVersionLast="34" xr6:coauthVersionMax="34" xr10:uidLastSave="{00000000-0000-0000-0000-000000000000}"/>
  <bookViews>
    <workbookView xWindow="0" yWindow="460" windowWidth="33600" windowHeight="20440" tabRatio="195" xr2:uid="{00000000-000D-0000-FFFF-FFFF00000000}"/>
  </bookViews>
  <sheets>
    <sheet name="Sheet1" sheetId="1" r:id="rId1"/>
  </sheets>
  <definedNames>
    <definedName name="_xlnm.Print_Area" localSheetId="0">Sheet1!$A$1:$F$38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8" i="1" l="1"/>
  <c r="J17" i="1" l="1"/>
  <c r="R17" i="1" s="1"/>
  <c r="J15" i="1"/>
  <c r="J14" i="1"/>
  <c r="J12" i="1"/>
  <c r="J11" i="1"/>
  <c r="J28" i="1"/>
  <c r="J27" i="1"/>
  <c r="J26" i="1"/>
  <c r="K26" i="1" s="1"/>
  <c r="J25" i="1"/>
  <c r="K25" i="1" s="1"/>
  <c r="J24" i="1"/>
  <c r="S24" i="1" s="1"/>
  <c r="J23" i="1"/>
  <c r="J22" i="1"/>
  <c r="J21" i="1"/>
  <c r="J20" i="1"/>
  <c r="J19" i="1"/>
  <c r="J18" i="1"/>
  <c r="R18" i="1" s="1"/>
  <c r="E17" i="1"/>
  <c r="J16" i="1"/>
  <c r="A8" i="1"/>
  <c r="A9" i="1"/>
  <c r="A22" i="1"/>
  <c r="Y15" i="1" l="1"/>
  <c r="Y18" i="1"/>
  <c r="Y19" i="1"/>
  <c r="S25" i="1"/>
  <c r="Y14" i="1"/>
  <c r="Y13" i="1"/>
  <c r="K21" i="1"/>
  <c r="K24" i="1"/>
  <c r="K19" i="1"/>
  <c r="K23" i="1"/>
  <c r="K22" i="1"/>
  <c r="K20" i="1"/>
  <c r="K12" i="1"/>
  <c r="K11" i="1"/>
  <c r="K15" i="1"/>
  <c r="K18" i="1"/>
  <c r="K14" i="1"/>
  <c r="K17" i="1"/>
  <c r="K13" i="1"/>
  <c r="K16" i="1"/>
  <c r="Y11" i="1" l="1"/>
  <c r="T26" i="1"/>
  <c r="T25" i="1"/>
  <c r="I21" i="1"/>
  <c r="Y17" i="1"/>
  <c r="W15" i="1"/>
  <c r="V15" i="1" s="1"/>
  <c r="W26" i="1"/>
  <c r="V26" i="1" s="1"/>
  <c r="W25" i="1"/>
  <c r="V25" i="1" s="1"/>
  <c r="W24" i="1"/>
  <c r="V24" i="1"/>
  <c r="W23" i="1"/>
  <c r="V23" i="1" s="1"/>
  <c r="W22" i="1"/>
  <c r="V22" i="1" s="1"/>
  <c r="W21" i="1"/>
  <c r="V21" i="1" s="1"/>
  <c r="W20" i="1"/>
  <c r="V20" i="1" s="1"/>
  <c r="W19" i="1"/>
  <c r="V19" i="1" s="1"/>
  <c r="W18" i="1"/>
  <c r="V18" i="1" s="1"/>
  <c r="W17" i="1"/>
  <c r="V17" i="1" s="1"/>
  <c r="W16" i="1"/>
  <c r="V16" i="1" s="1"/>
  <c r="W14" i="1"/>
  <c r="V14" i="1" s="1"/>
  <c r="W13" i="1"/>
  <c r="V13" i="1" s="1"/>
  <c r="W12" i="1"/>
  <c r="V12" i="1" s="1"/>
  <c r="W11" i="1"/>
  <c r="V11" i="1" s="1"/>
  <c r="U26" i="1"/>
  <c r="A26" i="1" s="1"/>
  <c r="E11" i="1"/>
  <c r="E12" i="1"/>
  <c r="E14" i="1"/>
  <c r="E15" i="1"/>
  <c r="Z38" i="1" l="1"/>
  <c r="A19" i="1" s="1"/>
  <c r="U25" i="1"/>
  <c r="A25" i="1" s="1"/>
  <c r="Z37" i="1"/>
  <c r="A13" i="1" s="1"/>
  <c r="I20" i="1"/>
  <c r="U23" i="1" s="1"/>
  <c r="U24" i="1"/>
  <c r="A24" i="1" s="1"/>
  <c r="Y12" i="1"/>
  <c r="B27" i="1"/>
  <c r="A27" i="1" s="1"/>
  <c r="T24" i="1"/>
  <c r="I22" i="1"/>
  <c r="U21" i="1" l="1"/>
  <c r="U20" i="1"/>
  <c r="U22" i="1"/>
  <c r="Z36" i="1"/>
  <c r="A6" i="1" s="1"/>
  <c r="Y16" i="1" l="1"/>
  <c r="Z39" i="1" s="1"/>
  <c r="A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Chong</author>
  </authors>
  <commentList>
    <comment ref="R17" authorId="0" shapeId="0" xr:uid="{79AA9628-483B-9F45-A309-FDB057C9AC80}">
      <text>
        <r>
          <rPr>
            <sz val="10"/>
            <color rgb="FF000000"/>
            <rFont val="Tahoma"/>
            <family val="2"/>
          </rPr>
          <t>Is the first theory course valid?</t>
        </r>
      </text>
    </comment>
    <comment ref="R18" authorId="0" shapeId="0" xr:uid="{00000000-0006-0000-0000-000001000000}">
      <text>
        <r>
          <rPr>
            <sz val="9"/>
            <color rgb="FF000000"/>
            <rFont val="Arial"/>
            <family val="2"/>
          </rPr>
          <t>Is the 2nd theory course valid?</t>
        </r>
      </text>
    </comment>
    <comment ref="I20" authorId="0" shapeId="0" xr:uid="{00000000-0006-0000-0000-000002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O20" authorId="0" shapeId="0" xr:uid="{C9D0B6F5-5DD1-0C4F-A8CC-4FC76AE2A8B5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Remove this after AY18-19. Only in here to allow Seniors to specify it.</t>
        </r>
      </text>
    </comment>
    <comment ref="U20" authorId="0" shapeId="0" xr:uid="{00000000-0006-0000-0000-000003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Basic program?</t>
        </r>
      </text>
    </comment>
    <comment ref="I21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U21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Honors program?</t>
        </r>
      </text>
    </comment>
    <comment ref="I22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Stephen Chong:</t>
        </r>
        <r>
          <rPr>
            <sz val="9"/>
            <color indexed="81"/>
            <rFont val="Arial"/>
            <family val="2"/>
          </rPr>
          <t xml:space="preserve">
Penultimte course digit
</t>
        </r>
      </text>
    </comment>
    <comment ref="U22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Joint program?</t>
        </r>
      </text>
    </comment>
    <comment ref="U23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MBB program?</t>
        </r>
      </text>
    </comment>
    <comment ref="S24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first elective valid for the Basic program?
</t>
        </r>
      </text>
    </comment>
    <comment ref="T24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1st elective valid for the Honors program?</t>
        </r>
      </text>
    </comment>
    <comment ref="U24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1st elective valid?
</t>
        </r>
      </text>
    </comment>
    <comment ref="S25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2nd elective valid for the Basic program?
</t>
        </r>
      </text>
    </comment>
    <comment ref="T25" authorId="0" shapeId="0" xr:uid="{00000000-0006-0000-0000-00000D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 valid for the Honors program?</t>
        </r>
      </text>
    </comment>
    <comment ref="U25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valid?</t>
        </r>
      </text>
    </comment>
    <comment ref="T26" authorId="0" shapeId="0" xr:uid="{00000000-0006-0000-0000-00000F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 for the Honors program?</t>
        </r>
      </text>
    </comment>
    <comment ref="U26" authorId="0" shapeId="0" xr:uid="{00000000-0006-0000-0000-000010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valid?</t>
        </r>
      </text>
    </comment>
  </commentList>
</comments>
</file>

<file path=xl/sharedStrings.xml><?xml version="1.0" encoding="utf-8"?>
<sst xmlns="http://schemas.openxmlformats.org/spreadsheetml/2006/main" count="216" uniqueCount="198">
  <si>
    <t>Electives</t>
  </si>
  <si>
    <t>Core</t>
  </si>
  <si>
    <t>Theory</t>
  </si>
  <si>
    <t>MBB theory</t>
  </si>
  <si>
    <t>Key to data tables</t>
  </si>
  <si>
    <t>CS20</t>
  </si>
  <si>
    <t>CS91R</t>
  </si>
  <si>
    <t xml:space="preserve">Use these abbreviations: CS, Math, Phys, ES, AM. Stat, Ec. Be sure to include the “r” in courses like CS91r </t>
  </si>
  <si>
    <t>CS105</t>
  </si>
  <si>
    <t>CS51</t>
  </si>
  <si>
    <t>CS124</t>
  </si>
  <si>
    <t>CS108</t>
  </si>
  <si>
    <t>CS61</t>
  </si>
  <si>
    <t>CS125</t>
  </si>
  <si>
    <t>STAT110</t>
  </si>
  <si>
    <t>Which program? (Choose from menu)</t>
  </si>
  <si>
    <t>CS109</t>
  </si>
  <si>
    <t>CS134</t>
  </si>
  <si>
    <t>CS127</t>
  </si>
  <si>
    <t>CS121</t>
  </si>
  <si>
    <t>STAT121</t>
  </si>
  <si>
    <t>Enter grade from menu to calculate your GPA</t>
  </si>
  <si>
    <t>Grade</t>
  </si>
  <si>
    <t>CS205</t>
  </si>
  <si>
    <t>CS136</t>
  </si>
  <si>
    <t>CS221</t>
  </si>
  <si>
    <t>CS207</t>
  </si>
  <si>
    <t>CS141</t>
  </si>
  <si>
    <t>CS222</t>
  </si>
  <si>
    <t>Basic Math: Linear Algebra (choose from menu)</t>
  </si>
  <si>
    <t>CS209R</t>
  </si>
  <si>
    <t>CS143</t>
  </si>
  <si>
    <t>CS223</t>
  </si>
  <si>
    <t>CS96</t>
  </si>
  <si>
    <t>CS144R</t>
  </si>
  <si>
    <t>CS224</t>
  </si>
  <si>
    <t>Basic software, first course (choose from menu)</t>
  </si>
  <si>
    <t>ES50</t>
  </si>
  <si>
    <t>CS146</t>
  </si>
  <si>
    <t>CS225</t>
  </si>
  <si>
    <t>Basic software, second course (choose from menu)</t>
  </si>
  <si>
    <t>CS148</t>
  </si>
  <si>
    <t>CS227R</t>
  </si>
  <si>
    <t>MATH154</t>
  </si>
  <si>
    <t>CS152</t>
  </si>
  <si>
    <t>CS228</t>
  </si>
  <si>
    <t>AM120</t>
  </si>
  <si>
    <t>CS153</t>
  </si>
  <si>
    <t>CS229R</t>
  </si>
  <si>
    <t>AM121</t>
  </si>
  <si>
    <t>CS161</t>
  </si>
  <si>
    <t>AM106</t>
  </si>
  <si>
    <t>CS164</t>
  </si>
  <si>
    <t>AM107</t>
  </si>
  <si>
    <t>Breadth, first course</t>
  </si>
  <si>
    <t>CS91</t>
  </si>
  <si>
    <t>CS165</t>
  </si>
  <si>
    <t>Breadth, second course</t>
  </si>
  <si>
    <t>CS171</t>
  </si>
  <si>
    <t>ES52</t>
  </si>
  <si>
    <t>CS175</t>
  </si>
  <si>
    <t>CS109A</t>
  </si>
  <si>
    <t>CS179</t>
  </si>
  <si>
    <t>CS109B</t>
  </si>
  <si>
    <t>CS181</t>
  </si>
  <si>
    <t>CS182</t>
  </si>
  <si>
    <t>CS187</t>
  </si>
  <si>
    <t>CS189</t>
  </si>
  <si>
    <t>Student comments:</t>
  </si>
  <si>
    <t>CS234R</t>
  </si>
  <si>
    <t>CS236R</t>
  </si>
  <si>
    <t>CS242</t>
  </si>
  <si>
    <t>CS244</t>
  </si>
  <si>
    <t>CS246</t>
  </si>
  <si>
    <t>DUS comments:</t>
  </si>
  <si>
    <t>CS247</t>
  </si>
  <si>
    <t>CS244R</t>
  </si>
  <si>
    <t>CS248</t>
  </si>
  <si>
    <t>CS250</t>
  </si>
  <si>
    <t>CS247R</t>
  </si>
  <si>
    <t>CS191</t>
  </si>
  <si>
    <t>CS126</t>
  </si>
  <si>
    <t>NAME:</t>
  </si>
  <si>
    <t>HUID#:</t>
  </si>
  <si>
    <t>CanonicalCourseName</t>
  </si>
  <si>
    <t>IsCourseDuplicate?</t>
  </si>
  <si>
    <t>Grade points</t>
  </si>
  <si>
    <t>IsCourseGradeEntered?</t>
  </si>
  <si>
    <t>Version history</t>
  </si>
  <si>
    <t>Grade point lookup</t>
  </si>
  <si>
    <t>A</t>
  </si>
  <si>
    <t>A-</t>
  </si>
  <si>
    <t>B+</t>
  </si>
  <si>
    <t>B-</t>
  </si>
  <si>
    <t>C+</t>
  </si>
  <si>
    <t>C-</t>
  </si>
  <si>
    <t>D+</t>
  </si>
  <si>
    <t>D-</t>
  </si>
  <si>
    <t>D</t>
  </si>
  <si>
    <t>B</t>
  </si>
  <si>
    <t>C</t>
  </si>
  <si>
    <t>CS252R</t>
  </si>
  <si>
    <t>CS260R</t>
  </si>
  <si>
    <t>CS261R</t>
  </si>
  <si>
    <t>CS262</t>
  </si>
  <si>
    <t>CS263</t>
  </si>
  <si>
    <t>CS265</t>
  </si>
  <si>
    <t>CS277</t>
  </si>
  <si>
    <t>CS278</t>
  </si>
  <si>
    <t>CS279</t>
  </si>
  <si>
    <t>CS280R</t>
  </si>
  <si>
    <t>CS281</t>
  </si>
  <si>
    <t>CS282R</t>
  </si>
  <si>
    <t>CS283</t>
  </si>
  <si>
    <t>CS284</t>
  </si>
  <si>
    <t>CS285</t>
  </si>
  <si>
    <t>CS287</t>
  </si>
  <si>
    <t>CS288R</t>
  </si>
  <si>
    <t>CS289</t>
  </si>
  <si>
    <t>1.0.9: Added missing CS grad courses. Fixed bug with cell A14; Added grade point lookup; Breadth courses must be CS or a known alternative</t>
  </si>
  <si>
    <t>STAT121A</t>
  </si>
  <si>
    <t>STAT121B</t>
  </si>
  <si>
    <t>1.0.10: "Secondary" -&gt; "Allied"; use a lookup table for penultimate digit; added stat121a and b</t>
  </si>
  <si>
    <t>Core penultimte digit</t>
  </si>
  <si>
    <t>PHYS123</t>
  </si>
  <si>
    <t>ES153</t>
  </si>
  <si>
    <t>EC1034</t>
  </si>
  <si>
    <t>As new courses appear, they need to be added to these columns, in rows 3..99. Be careful not to change row 2, which is special as noted above.</t>
  </si>
  <si>
    <t>1.0.11: Fix bug in GPA computation</t>
  </si>
  <si>
    <t>1.0.12: Added cell for current year</t>
  </si>
  <si>
    <t>Current Year:</t>
  </si>
  <si>
    <t>CS226</t>
  </si>
  <si>
    <t>1.0.13: Added CS226</t>
  </si>
  <si>
    <t>1.0.14: Added ES170 (and also AM106 and 107 to electives)</t>
  </si>
  <si>
    <t>ES170</t>
  </si>
  <si>
    <t>STAT195</t>
  </si>
  <si>
    <t>Error Messge</t>
  </si>
  <si>
    <t>Error condition</t>
  </si>
  <si>
    <t>Error! Duplicate Course!</t>
  </si>
  <si>
    <t>Message location</t>
  </si>
  <si>
    <t>Error! Can't use CS20 for Math21a in an Honors program!</t>
  </si>
  <si>
    <t>Error! Can't use CS20 for Math21a unless declared prior to Fall 2018!</t>
  </si>
  <si>
    <t>Other</t>
  </si>
  <si>
    <t>Error! Does not satisfy breadth requirement!</t>
  </si>
  <si>
    <t>Basic</t>
  </si>
  <si>
    <t>Error! Not MCB80, MCB81, or Other!</t>
  </si>
  <si>
    <t>Error cell</t>
  </si>
  <si>
    <t>Error message</t>
  </si>
  <si>
    <t>Fall 2013</t>
  </si>
  <si>
    <t>Spring 2014</t>
  </si>
  <si>
    <t>Fall 2014</t>
  </si>
  <si>
    <t>Spring 2015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</si>
  <si>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</si>
  <si>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</si>
  <si>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</si>
  <si>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</si>
  <si>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</si>
  <si>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</si>
  <si>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</si>
  <si>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</si>
  <si>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2020</t>
  </si>
  <si>
    <t>Spring 2020</t>
  </si>
  <si>
    <t>Fall 2021</t>
  </si>
  <si>
    <t>Fall 2019</t>
  </si>
  <si>
    <t>Spring 2021</t>
  </si>
  <si>
    <t>Spring 2022</t>
  </si>
  <si>
    <t>Column Q are the semesters</t>
  </si>
  <si>
    <t>Column P are the courses that count for the theory requirement for MBB programs.</t>
  </si>
  <si>
    <t>Column O are the theory courses. These count for the theory requirement.</t>
  </si>
  <si>
    <t>Column N is the penultimate digit for the core CS classes. There are a few non-CS classes that are permitted, and this maps the penultimate digit appropriately</t>
  </si>
  <si>
    <t>Column M: “Core” CS courses, which count for breadth. That is, this is all CS courses with penultimate digit 3..8. Row 2 is CS91r, which counts but only for joint programs.</t>
  </si>
  <si>
    <t>Term (will be) taken</t>
  </si>
  <si>
    <t>Course</t>
  </si>
  <si>
    <t>Course semesters</t>
  </si>
  <si>
    <t>Basic Math: Stats or Multivariable Calculus (choose from menu)</t>
  </si>
  <si>
    <t>1.1.0: Summer 2018, Added column for semester, included Stat195, removed AM107 as Theory requirement, added Math22a and Math22b, ensure 1a+1b+CS20 applies only to non-honors, MBB breadth can't include 8, refactored error messages,CS 20 allowed in all programs</t>
  </si>
  <si>
    <t>Column L: Technical electives. These include all “non-core” CS courses that count for concentration but not for breadth. Row 2 is CS20 (which in a previous version of the spreadsheet counted only in honors programs)</t>
  </si>
  <si>
    <t>Error! Cannot take CS125 plus either CS121 or CS124</t>
  </si>
  <si>
    <t>This Plan of Study is to:</t>
  </si>
  <si>
    <t>Error! Not a valid second theory course</t>
  </si>
  <si>
    <t>Get DUS approval to use CS229r as second theory course</t>
  </si>
  <si>
    <t>Theory, first course (CS 121 or alternative: choose from menu)</t>
  </si>
  <si>
    <t>Theory, second course (CS 124 or alternative: write in)</t>
  </si>
  <si>
    <t>A19</t>
  </si>
  <si>
    <t>A23</t>
  </si>
  <si>
    <t>A6</t>
  </si>
  <si>
    <t>A13</t>
  </si>
  <si>
    <t>1.1.1: Better error message for AM106</t>
  </si>
  <si>
    <t>1.1.2: Added Math 23c</t>
  </si>
  <si>
    <t>1.1.3: Allow seniors to take AM106 for 2nd theory</t>
  </si>
  <si>
    <t>AM106 is not a valid 2nd theory course; permitted only by seniors of if taken before 2018. Talk to the DUSes.</t>
  </si>
  <si>
    <t>1.1.4</t>
  </si>
  <si>
    <t>Added CS145 to technical electives</t>
  </si>
  <si>
    <t>CS145</t>
  </si>
  <si>
    <t>CS100</t>
  </si>
  <si>
    <t>1.1.5</t>
  </si>
  <si>
    <t>Added some more courses: AM207, CS100</t>
  </si>
  <si>
    <t>AM207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</si>
</sst>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7" formatCode="[$-409]mmm\-yy;@"/>
  </numFmts>
  <fonts count="21" x14ac:knownFonts="1">
    <font>
      <sz val="10"/>
      <name val="Arial"/>
      <family val="2"/>
    </font>
    <font>
      <sz val="10"/>
      <name val="Lucida Sans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i/>
      <sz val="10"/>
      <name val="Arial"/>
      <family val="2"/>
    </font>
    <font>
      <sz val="12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320"/>
        <bgColor rgb="FFFFFF00"/>
      </patternFill>
    </fill>
    <fill>
      <patternFill patternType="solid">
        <fgColor rgb="FFAECF00"/>
        <bgColor rgb="FFFFD320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/>
    <xf numFmtId="0" fontId="0" fillId="0" borderId="0" xfId="0" applyFont="1" applyProtection="1"/>
    <xf numFmtId="0" fontId="0" fillId="5" borderId="0" xfId="0" applyFont="1" applyFill="1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164" fontId="0" fillId="0" borderId="0" xfId="0" applyNumberFormat="1" applyProtection="1">
      <protection locked="0"/>
    </xf>
    <xf numFmtId="0" fontId="8" fillId="0" borderId="0" xfId="0" applyFont="1" applyFill="1" applyProtection="1"/>
    <xf numFmtId="0" fontId="8" fillId="0" borderId="0" xfId="0" applyFont="1" applyProtection="1"/>
    <xf numFmtId="0" fontId="12" fillId="0" borderId="0" xfId="0" applyFont="1" applyProtection="1">
      <protection hidden="1"/>
    </xf>
    <xf numFmtId="0" fontId="3" fillId="7" borderId="0" xfId="0" applyFont="1" applyFill="1"/>
    <xf numFmtId="0" fontId="0" fillId="7" borderId="0" xfId="0" applyFill="1" applyProtection="1">
      <protection hidden="1"/>
    </xf>
    <xf numFmtId="0" fontId="0" fillId="7" borderId="0" xfId="0" applyNumberFormat="1" applyFill="1" applyProtection="1">
      <protection hidden="1"/>
    </xf>
    <xf numFmtId="0" fontId="0" fillId="7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3" fillId="0" borderId="0" xfId="0" applyFont="1" applyProtection="1">
      <protection hidden="1"/>
    </xf>
    <xf numFmtId="0" fontId="9" fillId="3" borderId="0" xfId="0" applyFont="1" applyFill="1" applyAlignment="1" applyProtection="1">
      <alignment horizontal="left"/>
      <protection locked="0"/>
    </xf>
    <xf numFmtId="49" fontId="9" fillId="3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12" fillId="0" borderId="0" xfId="0" applyFont="1" applyProtection="1"/>
    <xf numFmtId="0" fontId="17" fillId="0" borderId="0" xfId="0" applyFont="1" applyProtection="1"/>
    <xf numFmtId="0" fontId="17" fillId="0" borderId="0" xfId="0" applyFont="1"/>
    <xf numFmtId="0" fontId="0" fillId="8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3" fillId="0" borderId="0" xfId="0" applyFont="1"/>
    <xf numFmtId="0" fontId="13" fillId="0" borderId="0" xfId="0" applyFont="1" applyAlignment="1" applyProtection="1">
      <alignment horizontal="left"/>
      <protection hidden="1"/>
    </xf>
    <xf numFmtId="0" fontId="0" fillId="9" borderId="0" xfId="0" applyFill="1" applyProtection="1">
      <protection locked="0"/>
    </xf>
    <xf numFmtId="0" fontId="18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0" fillId="0" borderId="0" xfId="0" applyFill="1" applyProtection="1"/>
    <xf numFmtId="10" fontId="0" fillId="0" borderId="0" xfId="0" applyNumberFormat="1" applyFill="1" applyProtection="1"/>
    <xf numFmtId="0" fontId="9" fillId="0" borderId="0" xfId="0" applyFont="1" applyFill="1" applyAlignment="1" applyProtection="1">
      <alignment horizontal="left"/>
    </xf>
    <xf numFmtId="49" fontId="9" fillId="0" borderId="0" xfId="0" applyNumberFormat="1" applyFont="1" applyFill="1" applyAlignment="1" applyProtection="1">
      <alignment horizontal="left"/>
    </xf>
    <xf numFmtId="0" fontId="0" fillId="0" borderId="0" xfId="0" applyFill="1" applyBorder="1" applyProtection="1"/>
    <xf numFmtId="0" fontId="0" fillId="10" borderId="0" xfId="0" applyFill="1" applyProtection="1">
      <protection hidden="1"/>
    </xf>
    <xf numFmtId="17" fontId="0" fillId="0" borderId="0" xfId="0" applyNumberFormat="1" applyProtection="1"/>
    <xf numFmtId="17" fontId="0" fillId="0" borderId="0" xfId="0" applyNumberFormat="1"/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67" fontId="0" fillId="0" borderId="0" xfId="0" applyNumberFormat="1" applyProtection="1"/>
  </cellXfs>
  <cellStyles count="249">
    <cellStyle name="Alarm" xfId="1" xr:uid="{00000000-0005-0000-0000-000000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Grade" xfId="6" xr:uid="{00000000-0005-0000-0000-00007A000000}"/>
    <cellStyle name="Highlighted" xfId="2" xr:uid="{00000000-0005-0000-0000-00007B000000}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  <cellStyle name="Untitled1" xfId="3" xr:uid="{00000000-0005-0000-0000-0000F6000000}"/>
    <cellStyle name="Untitled2" xfId="4" xr:uid="{00000000-0005-0000-0000-0000F7000000}"/>
    <cellStyle name="Warning" xfId="5" xr:uid="{00000000-0005-0000-0000-0000F8000000}"/>
  </cellStyles>
  <dxfs count="20">
    <dxf>
      <fill>
        <patternFill patternType="solid">
          <fgColor indexed="53"/>
          <bgColor indexed="10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4"/>
  <sheetViews>
    <sheetView tabSelected="1" workbookViewId="0">
      <selection activeCell="C1" sqref="C1"/>
    </sheetView>
  </sheetViews>
  <sheetFormatPr baseColWidth="10" defaultColWidth="11.5" defaultRowHeight="13" x14ac:dyDescent="0.15"/>
  <cols>
    <col min="1" max="1" width="52.1640625" style="4" customWidth="1"/>
    <col min="2" max="2" width="8.5" style="4" customWidth="1"/>
    <col min="3" max="4" width="23.33203125" style="4" customWidth="1"/>
    <col min="5" max="5" width="15.6640625" style="4" customWidth="1"/>
    <col min="6" max="6" width="11.5" style="4"/>
    <col min="7" max="7" width="11.5" style="4" customWidth="1"/>
    <col min="8" max="9" width="11.5" style="2" hidden="1" customWidth="1"/>
    <col min="10" max="10" width="18.6640625" style="2" hidden="1" customWidth="1"/>
    <col min="11" max="11" width="21.1640625" style="2" hidden="1" customWidth="1"/>
    <col min="12" max="20" width="11.5" style="2" hidden="1" customWidth="1"/>
    <col min="21" max="21" width="17.33203125" style="2" hidden="1" customWidth="1"/>
    <col min="22" max="22" width="11.5" style="2" hidden="1" customWidth="1"/>
    <col min="23" max="23" width="20.5" style="2" hidden="1" customWidth="1"/>
    <col min="24" max="25" width="11.5" style="4" hidden="1" customWidth="1"/>
    <col min="26" max="26" width="46.6640625" style="4" hidden="1" customWidth="1"/>
    <col min="27" max="28" width="11.5" style="4" hidden="1" customWidth="1"/>
    <col min="29" max="29" width="6.6640625" style="2" hidden="1" customWidth="1"/>
    <col min="30" max="30" width="112.83203125" style="4" hidden="1" customWidth="1"/>
    <col min="31" max="16384" width="11.5" style="4"/>
  </cols>
  <sheetData>
    <row r="1" spans="1:29" ht="18" x14ac:dyDescent="0.2">
      <c r="A1" s="14" t="s">
        <v>82</v>
      </c>
      <c r="C1" s="25"/>
      <c r="D1" s="40"/>
      <c r="L1" s="36" t="s">
        <v>0</v>
      </c>
      <c r="M1" s="37" t="s">
        <v>1</v>
      </c>
      <c r="N1" s="37" t="s">
        <v>123</v>
      </c>
      <c r="O1" s="37" t="s">
        <v>2</v>
      </c>
      <c r="P1" s="37" t="s">
        <v>3</v>
      </c>
      <c r="Q1" s="37" t="s">
        <v>173</v>
      </c>
      <c r="X1"/>
      <c r="AC1" s="2" t="s">
        <v>4</v>
      </c>
    </row>
    <row r="2" spans="1:29" ht="18" x14ac:dyDescent="0.2">
      <c r="A2" s="15" t="s">
        <v>83</v>
      </c>
      <c r="C2" s="26"/>
      <c r="D2" s="41"/>
      <c r="L2" s="3" t="s">
        <v>5</v>
      </c>
      <c r="M2" s="3" t="s">
        <v>6</v>
      </c>
      <c r="N2" s="3">
        <v>9</v>
      </c>
      <c r="O2" s="1"/>
      <c r="P2" s="1"/>
      <c r="Q2" s="1"/>
      <c r="X2"/>
      <c r="AC2" s="2" t="s">
        <v>176</v>
      </c>
    </row>
    <row r="3" spans="1:29" ht="18" x14ac:dyDescent="0.2">
      <c r="A3" s="15" t="s">
        <v>130</v>
      </c>
      <c r="C3" s="25"/>
      <c r="D3" s="40"/>
      <c r="L3" s="3"/>
      <c r="M3" s="3"/>
      <c r="N3" s="3"/>
      <c r="O3" s="1"/>
      <c r="P3" s="1"/>
      <c r="Q3" s="1"/>
      <c r="X3"/>
      <c r="AC3" s="2" t="s">
        <v>170</v>
      </c>
    </row>
    <row r="4" spans="1:29" ht="18" x14ac:dyDescent="0.2">
      <c r="A4" s="15" t="s">
        <v>178</v>
      </c>
      <c r="C4" s="25"/>
      <c r="D4" s="40"/>
      <c r="L4" s="3"/>
      <c r="M4" s="3"/>
      <c r="N4" s="3"/>
      <c r="O4" s="12" t="s">
        <v>19</v>
      </c>
      <c r="P4" s="1"/>
      <c r="Q4" s="1"/>
      <c r="X4"/>
    </row>
    <row r="5" spans="1:29" ht="16" x14ac:dyDescent="0.2">
      <c r="A5" s="4" t="s">
        <v>7</v>
      </c>
      <c r="L5" s="3" t="s">
        <v>8</v>
      </c>
      <c r="M5" s="3" t="s">
        <v>9</v>
      </c>
      <c r="N5" s="3">
        <v>5</v>
      </c>
      <c r="O5" s="3" t="s">
        <v>10</v>
      </c>
      <c r="P5" s="3" t="s">
        <v>10</v>
      </c>
      <c r="Q5" s="12" t="s">
        <v>148</v>
      </c>
      <c r="X5"/>
      <c r="AC5" s="2" t="s">
        <v>169</v>
      </c>
    </row>
    <row r="6" spans="1:29" ht="16" x14ac:dyDescent="0.2">
      <c r="A6" s="4" t="str">
        <f>$Z$36</f>
        <v/>
      </c>
      <c r="C6" s="5"/>
      <c r="D6" s="5"/>
      <c r="L6" s="3" t="s">
        <v>11</v>
      </c>
      <c r="M6" s="3" t="s">
        <v>12</v>
      </c>
      <c r="N6" s="3">
        <v>6</v>
      </c>
      <c r="O6" s="3" t="s">
        <v>53</v>
      </c>
      <c r="P6" s="3" t="s">
        <v>14</v>
      </c>
      <c r="Q6" s="12" t="s">
        <v>149</v>
      </c>
      <c r="X6"/>
      <c r="AC6" s="2" t="s">
        <v>168</v>
      </c>
    </row>
    <row r="7" spans="1:29" ht="16" x14ac:dyDescent="0.2">
      <c r="A7" s="4" t="s">
        <v>15</v>
      </c>
      <c r="C7" s="32" t="s">
        <v>144</v>
      </c>
      <c r="D7" s="42"/>
      <c r="L7" s="3" t="s">
        <v>16</v>
      </c>
      <c r="M7" s="3" t="s">
        <v>17</v>
      </c>
      <c r="N7" s="3">
        <v>3</v>
      </c>
      <c r="O7" s="3" t="s">
        <v>18</v>
      </c>
      <c r="P7" s="12" t="s">
        <v>19</v>
      </c>
      <c r="Q7" s="12" t="s">
        <v>150</v>
      </c>
      <c r="X7"/>
      <c r="AC7" s="2" t="s">
        <v>167</v>
      </c>
    </row>
    <row r="8" spans="1:29" ht="16" x14ac:dyDescent="0.2">
      <c r="A8" s="4" t="str">
        <f>IF($C$7="Joint","With what other field?","")</f>
        <v/>
      </c>
      <c r="C8" s="46"/>
      <c r="D8" s="38"/>
      <c r="L8" s="3" t="s">
        <v>20</v>
      </c>
      <c r="M8" s="3"/>
      <c r="N8" s="3"/>
      <c r="O8" s="12" t="s">
        <v>81</v>
      </c>
      <c r="P8" s="12"/>
      <c r="Q8" s="12" t="s">
        <v>151</v>
      </c>
      <c r="X8"/>
      <c r="AC8" s="2" t="s">
        <v>166</v>
      </c>
    </row>
    <row r="9" spans="1:29" ht="16" x14ac:dyDescent="0.2">
      <c r="A9" s="4" t="str">
        <f>IF($C$7="Joint","Is CS Primary or Allied? Choose from menu","")</f>
        <v/>
      </c>
      <c r="C9" s="47"/>
      <c r="D9" s="39"/>
      <c r="L9" s="3"/>
      <c r="M9" s="3"/>
      <c r="N9" s="3"/>
      <c r="O9" s="3" t="s">
        <v>25</v>
      </c>
      <c r="P9" s="1"/>
      <c r="Q9" s="12" t="s">
        <v>152</v>
      </c>
      <c r="X9"/>
      <c r="AC9" s="2" t="s">
        <v>127</v>
      </c>
    </row>
    <row r="10" spans="1:29" ht="16" x14ac:dyDescent="0.2">
      <c r="A10" s="6" t="s">
        <v>21</v>
      </c>
      <c r="B10" s="6" t="s">
        <v>22</v>
      </c>
      <c r="C10" s="6" t="s">
        <v>172</v>
      </c>
      <c r="D10" s="6" t="s">
        <v>171</v>
      </c>
      <c r="J10" s="16" t="s">
        <v>84</v>
      </c>
      <c r="K10" s="16" t="s">
        <v>85</v>
      </c>
      <c r="L10" s="3" t="s">
        <v>23</v>
      </c>
      <c r="M10" s="3" t="s">
        <v>24</v>
      </c>
      <c r="N10" s="3">
        <v>3</v>
      </c>
      <c r="O10" s="3" t="s">
        <v>28</v>
      </c>
      <c r="P10" s="1"/>
      <c r="Q10" s="12" t="s">
        <v>153</v>
      </c>
      <c r="V10" s="16" t="s">
        <v>86</v>
      </c>
      <c r="W10" s="16" t="s">
        <v>87</v>
      </c>
      <c r="X10"/>
      <c r="Y10" s="28" t="s">
        <v>137</v>
      </c>
      <c r="Z10" s="28" t="s">
        <v>136</v>
      </c>
      <c r="AA10" s="28" t="s">
        <v>139</v>
      </c>
    </row>
    <row r="11" spans="1:29" ht="16" x14ac:dyDescent="0.2">
      <c r="A11" s="4" t="s">
        <v>174</v>
      </c>
      <c r="B11" s="9"/>
      <c r="C11" s="32"/>
      <c r="D11" s="32"/>
      <c r="E11" s="7" t="str">
        <f>IF(C11="Other","  What course?","")</f>
        <v/>
      </c>
      <c r="F11" s="8"/>
      <c r="J11" s="18" t="str">
        <f>UPPER(SUBSTITUTE(IF($C11="Other",$F11,$C11), " ", ""))</f>
        <v/>
      </c>
      <c r="K11" s="19" t="b">
        <f>AND(J11&lt;&gt;"",COUNTIF(J11:J26,J11)&gt;1,OR(RIGHT(J11)&lt;&gt;"R",J11="CS91R"))</f>
        <v>0</v>
      </c>
      <c r="L11" s="3" t="s">
        <v>26</v>
      </c>
      <c r="M11" s="3" t="s">
        <v>27</v>
      </c>
      <c r="N11" s="3">
        <v>4</v>
      </c>
      <c r="O11" s="3" t="s">
        <v>32</v>
      </c>
      <c r="P11" s="1"/>
      <c r="Q11" s="12" t="s">
        <v>154</v>
      </c>
      <c r="V11" s="18">
        <f t="shared" ref="V11:V26" si="0">IF(W11&lt;&gt;0,VLOOKUP(B11,$V$32:$W$42,2,FALSE), 0)</f>
        <v>0</v>
      </c>
      <c r="W11" s="18">
        <f t="shared" ref="W11:W26" si="1">IF(AND(B11&lt;&gt;"",B11&lt;&gt;"SAT"),1,0)</f>
        <v>0</v>
      </c>
      <c r="X11"/>
      <c r="Y11" s="4" t="b">
        <f>OR($K$11:$K$26)</f>
        <v>0</v>
      </c>
      <c r="Z11" s="4" t="s">
        <v>138</v>
      </c>
      <c r="AA11" s="29" t="s">
        <v>185</v>
      </c>
    </row>
    <row r="12" spans="1:29" ht="16" x14ac:dyDescent="0.2">
      <c r="A12" s="4" t="s">
        <v>29</v>
      </c>
      <c r="B12" s="9"/>
      <c r="C12" s="32"/>
      <c r="D12" s="31"/>
      <c r="E12" s="7" t="str">
        <f>IF(C12="Other","  What course?","")</f>
        <v/>
      </c>
      <c r="F12" s="8"/>
      <c r="J12" s="18" t="str">
        <f>UPPER(SUBSTITUTE(IF($C12="Other",$F12,$C12), " ", ""))</f>
        <v/>
      </c>
      <c r="K12" s="19" t="b">
        <f t="shared" ref="K12:K26" si="2">AND(J12&lt;&gt;"",COUNTIF(J12:J27,J12)&gt;1,OR(RIGHT(J12)&lt;&gt;"R",J12="CS91R"))</f>
        <v>0</v>
      </c>
      <c r="L12" s="3" t="s">
        <v>30</v>
      </c>
      <c r="M12" s="3" t="s">
        <v>31</v>
      </c>
      <c r="N12" s="3">
        <v>4</v>
      </c>
      <c r="O12" s="3" t="s">
        <v>35</v>
      </c>
      <c r="P12" s="1"/>
      <c r="Q12" s="12" t="s">
        <v>155</v>
      </c>
      <c r="V12" s="18">
        <f t="shared" si="0"/>
        <v>0</v>
      </c>
      <c r="W12" s="18">
        <f t="shared" si="1"/>
        <v>0</v>
      </c>
      <c r="X12"/>
      <c r="Y12" s="4" t="b">
        <f>AND(COUNTIF($J$11:$J$26,"CS125")&gt;0,OR(COUNTIF($J$11:$J$26,"CS121")&gt;0,COUNTIF($J$11:$J$26,"CS124")&gt;0))</f>
        <v>0</v>
      </c>
      <c r="Z12" s="4" t="s">
        <v>177</v>
      </c>
      <c r="AA12" s="30" t="s">
        <v>185</v>
      </c>
    </row>
    <row r="13" spans="1:29" ht="16" x14ac:dyDescent="0.2">
      <c r="A13" s="4" t="str">
        <f>$Z$37</f>
        <v/>
      </c>
      <c r="B13" s="8"/>
      <c r="C13" s="8"/>
      <c r="D13" s="8"/>
      <c r="E13" s="7"/>
      <c r="F13" s="8"/>
      <c r="J13" s="18"/>
      <c r="K13" s="19" t="b">
        <f t="shared" si="2"/>
        <v>0</v>
      </c>
      <c r="L13" s="3" t="s">
        <v>33</v>
      </c>
      <c r="M13" s="3" t="s">
        <v>34</v>
      </c>
      <c r="N13" s="3">
        <v>4</v>
      </c>
      <c r="O13" s="3" t="s">
        <v>39</v>
      </c>
      <c r="P13" s="1"/>
      <c r="Q13" s="12" t="s">
        <v>156</v>
      </c>
      <c r="V13" s="18">
        <f t="shared" si="0"/>
        <v>0</v>
      </c>
      <c r="W13" s="18">
        <f t="shared" si="1"/>
        <v>0</v>
      </c>
      <c r="X13"/>
      <c r="Y13" s="4" t="b">
        <f>AND($C$7&lt;&gt;"Basic", LEFT($J$11,14)="MATH1A+1B+CS20")</f>
        <v>0</v>
      </c>
      <c r="Z13" s="4" t="s">
        <v>140</v>
      </c>
      <c r="AA13" s="29" t="s">
        <v>186</v>
      </c>
    </row>
    <row r="14" spans="1:29" ht="16" x14ac:dyDescent="0.2">
      <c r="A14" s="4" t="s">
        <v>36</v>
      </c>
      <c r="B14" s="9"/>
      <c r="C14" s="32"/>
      <c r="D14" s="32"/>
      <c r="E14" s="7" t="str">
        <f>IF(C14="Other","  What course?","")</f>
        <v/>
      </c>
      <c r="F14" s="8"/>
      <c r="J14" s="18" t="str">
        <f>UPPER(SUBSTITUTE(IF($C14="Other",$F14,$C14), " ", ""))</f>
        <v/>
      </c>
      <c r="K14" s="19" t="b">
        <f t="shared" si="2"/>
        <v>0</v>
      </c>
      <c r="L14" s="3" t="s">
        <v>37</v>
      </c>
      <c r="M14" s="3" t="s">
        <v>38</v>
      </c>
      <c r="N14" s="3">
        <v>4</v>
      </c>
      <c r="O14" s="3" t="s">
        <v>131</v>
      </c>
      <c r="P14" s="1"/>
      <c r="Q14" s="12" t="s">
        <v>157</v>
      </c>
      <c r="V14" s="18">
        <f t="shared" si="0"/>
        <v>0</v>
      </c>
      <c r="W14" s="18">
        <f t="shared" si="1"/>
        <v>0</v>
      </c>
      <c r="X14"/>
      <c r="Y14" s="4" t="b">
        <f>AND($C$3&lt;&gt;"Junior",$C$3&lt;&gt;"Senior",LEFT($J$11,14)="MATH1A+1B+CS20")</f>
        <v>0</v>
      </c>
      <c r="Z14" t="s">
        <v>141</v>
      </c>
      <c r="AA14" s="30" t="s">
        <v>186</v>
      </c>
    </row>
    <row r="15" spans="1:29" ht="16" x14ac:dyDescent="0.2">
      <c r="A15" s="4" t="s">
        <v>40</v>
      </c>
      <c r="B15" s="9"/>
      <c r="C15" s="32"/>
      <c r="D15" s="32"/>
      <c r="E15" s="7" t="str">
        <f>IF(C15="Other","  What course?","")</f>
        <v/>
      </c>
      <c r="F15" s="8"/>
      <c r="J15" s="18" t="str">
        <f>UPPER(SUBSTITUTE(IF($C15="Other",$F15,$C15), " ", ""))</f>
        <v/>
      </c>
      <c r="K15" s="19" t="b">
        <f t="shared" si="2"/>
        <v>0</v>
      </c>
      <c r="L15" s="3" t="s">
        <v>14</v>
      </c>
      <c r="M15" s="3" t="s">
        <v>41</v>
      </c>
      <c r="N15" s="3">
        <v>4</v>
      </c>
      <c r="O15" s="3" t="s">
        <v>42</v>
      </c>
      <c r="P15" s="1"/>
      <c r="Q15" s="12" t="s">
        <v>158</v>
      </c>
      <c r="V15" s="18">
        <f t="shared" si="0"/>
        <v>0</v>
      </c>
      <c r="W15" s="18">
        <f t="shared" si="1"/>
        <v>0</v>
      </c>
      <c r="X15"/>
      <c r="Y15" s="4" t="b">
        <f>NOT(AND($R$17,$R$18))</f>
        <v>0</v>
      </c>
      <c r="Z15" s="4" t="s">
        <v>179</v>
      </c>
      <c r="AA15" s="29" t="s">
        <v>183</v>
      </c>
    </row>
    <row r="16" spans="1:29" ht="16" x14ac:dyDescent="0.2">
      <c r="B16" s="8"/>
      <c r="C16" s="8"/>
      <c r="D16" s="8"/>
      <c r="E16" s="33"/>
      <c r="F16" s="8"/>
      <c r="J16" s="18" t="str">
        <f>UPPER(SUBSTITUTE($C16," ",""))</f>
        <v/>
      </c>
      <c r="K16" s="19" t="b">
        <f t="shared" si="2"/>
        <v>0</v>
      </c>
      <c r="L16" s="3" t="s">
        <v>43</v>
      </c>
      <c r="M16" s="3" t="s">
        <v>44</v>
      </c>
      <c r="N16" s="3">
        <v>5</v>
      </c>
      <c r="O16" s="3" t="s">
        <v>45</v>
      </c>
      <c r="P16" s="1"/>
      <c r="Q16" s="12" t="s">
        <v>159</v>
      </c>
      <c r="V16" s="18">
        <f t="shared" si="0"/>
        <v>0</v>
      </c>
      <c r="W16" s="18">
        <f t="shared" si="1"/>
        <v>0</v>
      </c>
      <c r="X16"/>
      <c r="Y16" s="4" t="b">
        <f>AND(OR($U$20,$U$21,$U$22,$U$23),$C$7&lt;&gt;"")</f>
        <v>0</v>
      </c>
      <c r="Z16" s="4" t="s">
        <v>143</v>
      </c>
      <c r="AA16" s="29" t="s">
        <v>184</v>
      </c>
    </row>
    <row r="17" spans="1:29" ht="16" x14ac:dyDescent="0.2">
      <c r="A17" s="4" t="s">
        <v>181</v>
      </c>
      <c r="B17" s="9"/>
      <c r="C17" s="32"/>
      <c r="D17" s="32"/>
      <c r="E17" s="7" t="str">
        <f>IF(C17="Other","  What course?","")</f>
        <v/>
      </c>
      <c r="F17" s="8"/>
      <c r="J17" s="18" t="str">
        <f>UPPER(SUBSTITUTE(IF($C17="Other",$F17,$C17), " ", ""))</f>
        <v/>
      </c>
      <c r="K17" s="19" t="b">
        <f t="shared" si="2"/>
        <v>0</v>
      </c>
      <c r="L17" s="3" t="s">
        <v>46</v>
      </c>
      <c r="M17" s="3" t="s">
        <v>47</v>
      </c>
      <c r="N17" s="3">
        <v>5</v>
      </c>
      <c r="O17" s="3" t="s">
        <v>48</v>
      </c>
      <c r="P17" s="1"/>
      <c r="Q17" s="12" t="s">
        <v>163</v>
      </c>
      <c r="R17" s="43" t="b">
        <f>OR(J17="",AND($C$7="MBB",$J17&lt;&gt;"",COUNTIF($P$3:$P$101,J17)&gt;0),AND($C$7&lt;&gt;"MBB",J17&lt;&gt;"",COUNTIF($O$3:$O$101,J17)&gt;0))</f>
        <v>1</v>
      </c>
      <c r="V17" s="18">
        <f t="shared" si="0"/>
        <v>0</v>
      </c>
      <c r="W17" s="18">
        <f t="shared" si="1"/>
        <v>0</v>
      </c>
      <c r="X17"/>
      <c r="Y17" s="4" t="b">
        <f>AND($C$7="MBB",$J$22&lt;&gt;"",$J$22&lt;&gt;"MCB80",$J$22&lt;&gt;"MCB81",$J$22&lt;&gt;"Other")</f>
        <v>0</v>
      </c>
      <c r="Z17" s="4" t="s">
        <v>145</v>
      </c>
      <c r="AA17" s="30" t="s">
        <v>184</v>
      </c>
    </row>
    <row r="18" spans="1:29" ht="16" x14ac:dyDescent="0.2">
      <c r="A18" s="4" t="s">
        <v>182</v>
      </c>
      <c r="B18" s="9"/>
      <c r="C18" s="10"/>
      <c r="D18" s="10"/>
      <c r="E18" s="7"/>
      <c r="F18" s="8"/>
      <c r="J18" s="18" t="str">
        <f t="shared" ref="J18:J28" si="3">UPPER(SUBSTITUTE($C18," ",""))</f>
        <v/>
      </c>
      <c r="K18" s="19" t="b">
        <f t="shared" si="2"/>
        <v>0</v>
      </c>
      <c r="L18" s="3" t="s">
        <v>49</v>
      </c>
      <c r="M18" s="3" t="s">
        <v>50</v>
      </c>
      <c r="N18" s="3">
        <v>6</v>
      </c>
      <c r="O18" s="3" t="s">
        <v>13</v>
      </c>
      <c r="P18" s="1"/>
      <c r="Q18" s="12" t="s">
        <v>161</v>
      </c>
      <c r="R18" s="18" t="b">
        <f>OR(J18="",AND($C$7="MBB",J18&lt;&gt;"", COUNTIF($P$3:$P$101,J18)&gt;0),AND($C$7&lt;&gt;"MBB",J18&lt;&gt;"",COUNTIF($O$3:$O$101,J18)&gt;0))</f>
        <v>1</v>
      </c>
      <c r="V18" s="18">
        <f t="shared" si="0"/>
        <v>0</v>
      </c>
      <c r="W18" s="18">
        <f t="shared" si="1"/>
        <v>0</v>
      </c>
      <c r="X18"/>
      <c r="Y18" s="4" t="b">
        <f>($J$18="CS229R")</f>
        <v>0</v>
      </c>
      <c r="Z18" s="4" t="s">
        <v>180</v>
      </c>
      <c r="AA18" s="29" t="s">
        <v>183</v>
      </c>
    </row>
    <row r="19" spans="1:29" ht="16" x14ac:dyDescent="0.2">
      <c r="A19" s="4" t="str">
        <f>$Z$38</f>
        <v/>
      </c>
      <c r="B19" s="8"/>
      <c r="C19" s="8"/>
      <c r="D19" s="8"/>
      <c r="E19" s="7"/>
      <c r="F19" s="8"/>
      <c r="J19" s="18" t="str">
        <f t="shared" si="3"/>
        <v/>
      </c>
      <c r="K19" s="19" t="b">
        <f t="shared" si="2"/>
        <v>0</v>
      </c>
      <c r="L19" s="3" t="s">
        <v>6</v>
      </c>
      <c r="M19" s="3" t="s">
        <v>52</v>
      </c>
      <c r="N19" s="3">
        <v>6</v>
      </c>
      <c r="P19" s="1"/>
      <c r="Q19" s="12" t="s">
        <v>160</v>
      </c>
      <c r="V19" s="18">
        <f t="shared" si="0"/>
        <v>0</v>
      </c>
      <c r="W19" s="18">
        <f t="shared" si="1"/>
        <v>0</v>
      </c>
      <c r="X19"/>
      <c r="Y19" s="4" t="b">
        <f>AND($J$18="AM106",$C$3&lt;&gt;"Senior")</f>
        <v>0</v>
      </c>
      <c r="Z19" s="4" t="s">
        <v>190</v>
      </c>
      <c r="AA19" s="30" t="s">
        <v>183</v>
      </c>
    </row>
    <row r="20" spans="1:29" ht="16" x14ac:dyDescent="0.2">
      <c r="A20" s="4" t="s">
        <v>54</v>
      </c>
      <c r="B20" s="9"/>
      <c r="C20" s="10"/>
      <c r="D20" s="32"/>
      <c r="E20" s="7"/>
      <c r="F20" s="8"/>
      <c r="I20" s="17" t="str">
        <f>IF(LEN($J20)=0,"",IF(COUNTIF($M$2:$M$101,$J20)&gt;0,VLOOKUP($J20,$M$2:$N$101, 2,FALSE),"X"))</f>
        <v/>
      </c>
      <c r="J20" s="18" t="str">
        <f t="shared" si="3"/>
        <v/>
      </c>
      <c r="K20" s="19" t="b">
        <f t="shared" si="2"/>
        <v>0</v>
      </c>
      <c r="L20" s="3" t="s">
        <v>55</v>
      </c>
      <c r="M20" s="3" t="s">
        <v>56</v>
      </c>
      <c r="N20" s="3">
        <v>6</v>
      </c>
      <c r="O20" s="2" t="s">
        <v>51</v>
      </c>
      <c r="Q20" s="34" t="s">
        <v>164</v>
      </c>
      <c r="U20" s="20" t="b">
        <f>AND($C$7="Basic",OR(AND($J$20&lt;&gt;"",COUNTIF($M$3:$M$101,$J$20)=0),AND($J$21&lt;&gt;"",COUNTIF($M$3:$M$101,$J$21)=0),AND($J$20&lt;&gt;"",$J$21&lt;&gt;"",$I$20=$I$21)))</f>
        <v>0</v>
      </c>
      <c r="V20" s="18">
        <f t="shared" si="0"/>
        <v>0</v>
      </c>
      <c r="W20" s="18">
        <f t="shared" si="1"/>
        <v>0</v>
      </c>
      <c r="X20"/>
    </row>
    <row r="21" spans="1:29" ht="16" x14ac:dyDescent="0.2">
      <c r="A21" s="4" t="s">
        <v>57</v>
      </c>
      <c r="B21" s="9"/>
      <c r="C21" s="31"/>
      <c r="D21" s="32"/>
      <c r="E21" s="7"/>
      <c r="F21" s="8"/>
      <c r="I21" s="17" t="str">
        <f>IF(LEN($J21)=0,"",IF(COUNTIF($M$2:$M$101,$J21)&gt;0,VLOOKUP($J21,$M$2:$N$101, 2,FALSE),"X"))</f>
        <v/>
      </c>
      <c r="J21" s="18" t="str">
        <f t="shared" si="3"/>
        <v/>
      </c>
      <c r="K21" s="19" t="b">
        <f t="shared" si="2"/>
        <v>0</v>
      </c>
      <c r="L21" s="3" t="s">
        <v>30</v>
      </c>
      <c r="M21" s="3" t="s">
        <v>58</v>
      </c>
      <c r="N21" s="3">
        <v>7</v>
      </c>
      <c r="O21" s="3"/>
      <c r="Q21" s="34" t="s">
        <v>162</v>
      </c>
      <c r="U21" s="18" t="b">
        <f>AND($C$7="Honors",OR(AND(J20&lt;&gt;"",COUNTIF($M$3:$M$101,J20)=0),AND(J21&lt;&gt;"",COUNTIF($M$3:$M$101,J21)=0),AND(J20&lt;&gt;"",J21&lt;&gt;"",I20=I21),AND(J22&lt;&gt;"",COUNTIF($M$3:$M$101,J22)=0),AND(J22&lt;&gt;"",J20&lt;&gt;"",I20=I22),AND(J22&lt;&gt;"",J21&lt;&gt;"",I21=I22)))</f>
        <v>0</v>
      </c>
      <c r="V21" s="18">
        <f t="shared" si="0"/>
        <v>0</v>
      </c>
      <c r="W21" s="18">
        <f t="shared" si="1"/>
        <v>0</v>
      </c>
      <c r="X21"/>
    </row>
    <row r="22" spans="1:29" ht="16" x14ac:dyDescent="0.2">
      <c r="A22" s="4" t="str">
        <f>IF(OR($C$7="Joint",$C$7="Honors"),"Breadth, third course",IF($C$7="MBB","Enter MCB80, MCB81, or Other",""))</f>
        <v/>
      </c>
      <c r="B22" s="8"/>
      <c r="C22" s="8"/>
      <c r="D22" s="8"/>
      <c r="E22" s="7"/>
      <c r="F22" s="8"/>
      <c r="I22" s="17" t="str">
        <f>IF(LEN($J22)=0,"",IF(COUNTIF($M$2:$M$101,$J22)&gt;0,VLOOKUP($J22,$M$2:$N$101, 2,FALSE),"X"))</f>
        <v/>
      </c>
      <c r="J22" s="18" t="str">
        <f t="shared" si="3"/>
        <v/>
      </c>
      <c r="K22" s="19" t="b">
        <f t="shared" si="2"/>
        <v>0</v>
      </c>
      <c r="L22" s="12" t="s">
        <v>59</v>
      </c>
      <c r="M22" s="3" t="s">
        <v>60</v>
      </c>
      <c r="N22" s="3">
        <v>7</v>
      </c>
      <c r="O22" s="3"/>
      <c r="Q22" s="34" t="s">
        <v>165</v>
      </c>
      <c r="U22" s="20" t="b">
        <f>AND($C$7="Joint",OR(AND(J20&lt;&gt;"",COUNTIF($M$2:$M$101,J20)=0),AND(J21&lt;&gt;"",COUNTIF($M$2:$M$101,J21)=0),AND(J20&lt;&gt;"",J21&lt;&gt;"",I20=I21),AND(J22&lt;&gt;"",COUNTIF($M$2:$M$101,J22)=0),AND(J22&lt;&gt;"",J20&lt;&gt;"",I20=I22),AND(J22&lt;&gt;"",J21&lt;&gt;"",I21=I22)))</f>
        <v>0</v>
      </c>
      <c r="V22" s="18">
        <f t="shared" si="0"/>
        <v>0</v>
      </c>
      <c r="W22" s="18">
        <f t="shared" si="1"/>
        <v>0</v>
      </c>
      <c r="X22"/>
    </row>
    <row r="23" spans="1:29" ht="16" x14ac:dyDescent="0.2">
      <c r="A23" s="4" t="str">
        <f>$Z$39</f>
        <v/>
      </c>
      <c r="B23" s="8"/>
      <c r="C23" s="8"/>
      <c r="D23" s="8"/>
      <c r="E23" s="7"/>
      <c r="F23" s="8"/>
      <c r="J23" s="18" t="str">
        <f t="shared" si="3"/>
        <v/>
      </c>
      <c r="K23" s="19" t="b">
        <f t="shared" si="2"/>
        <v>0</v>
      </c>
      <c r="L23" s="12" t="s">
        <v>61</v>
      </c>
      <c r="M23" s="3" t="s">
        <v>62</v>
      </c>
      <c r="N23" s="3">
        <v>7</v>
      </c>
      <c r="O23" s="3"/>
      <c r="Q23" s="34" t="s">
        <v>162</v>
      </c>
      <c r="U23" s="18" t="b">
        <f>AND($C$7="MBB",OR(AND(J20&lt;&gt;"",COUNTIF($M$2:$M$101,J20)=0),AND(J21&lt;&gt;"",COUNTIF($M$2:$M$101,J21)=0),AND(J20&lt;&gt;"",J21&lt;&gt;"",I20=I21),$I$20=8,$I$21=8))</f>
        <v>0</v>
      </c>
      <c r="V23" s="18">
        <f t="shared" si="0"/>
        <v>0</v>
      </c>
      <c r="W23" s="18">
        <f t="shared" si="1"/>
        <v>0</v>
      </c>
      <c r="X23"/>
    </row>
    <row r="24" spans="1:29" ht="16" x14ac:dyDescent="0.2">
      <c r="A24" s="4" t="str">
        <f>IF($C$7="MBB","Enter an approved biology or psychology course",IF($C$7="Joint","",IF($U24,"Elective","INVALID ELECTIVE")))</f>
        <v>Elective</v>
      </c>
      <c r="B24" s="8"/>
      <c r="C24" s="8"/>
      <c r="D24" s="48"/>
      <c r="E24" s="7"/>
      <c r="F24" s="8"/>
      <c r="J24" s="18" t="str">
        <f t="shared" si="3"/>
        <v/>
      </c>
      <c r="K24" s="19" t="b">
        <f t="shared" si="2"/>
        <v>0</v>
      </c>
      <c r="L24" s="12" t="s">
        <v>63</v>
      </c>
      <c r="M24" s="3" t="s">
        <v>64</v>
      </c>
      <c r="N24" s="3">
        <v>8</v>
      </c>
      <c r="O24" s="1"/>
      <c r="Q24" s="34" t="s">
        <v>165</v>
      </c>
      <c r="S24" s="18" t="b">
        <f>OR(J24="",COUNTIF($L$2:$L$101,J24)&gt;0,COUNTIF($M$2:$M$101,J24)&gt;0,COUNTIF($O$3:$O$101,J24)&gt;0)</f>
        <v>1</v>
      </c>
      <c r="T24" s="18" t="b">
        <f>OR(J24="",COUNTIF($L$2:$L$101,J24)&gt;0,COUNTIF($M$2:$M$101,J24)&gt;0,COUNTIF($O$5:$O$101,J24)&gt;0)</f>
        <v>1</v>
      </c>
      <c r="U24" s="18" t="b">
        <f>IF($C$7="Basic",S24,IF($C$7="Honors",T24,1))</f>
        <v>1</v>
      </c>
      <c r="V24" s="18">
        <f t="shared" si="0"/>
        <v>0</v>
      </c>
      <c r="W24" s="18">
        <f t="shared" si="1"/>
        <v>0</v>
      </c>
      <c r="X24"/>
    </row>
    <row r="25" spans="1:29" ht="16" x14ac:dyDescent="0.2">
      <c r="A25" s="5" t="str">
        <f>IF($C$7="MBB","Enter an approved MBB Junior Tutorial",IF($C$7="Joint","",IF($U25,"Elective","INVALID ELECTIVE")))</f>
        <v>Elective</v>
      </c>
      <c r="B25" s="8"/>
      <c r="C25" s="8"/>
      <c r="D25" s="48"/>
      <c r="E25" s="7"/>
      <c r="F25" s="8"/>
      <c r="J25" s="18" t="str">
        <f t="shared" si="3"/>
        <v/>
      </c>
      <c r="K25" s="19" t="b">
        <f t="shared" si="2"/>
        <v>0</v>
      </c>
      <c r="L25" s="12" t="s">
        <v>80</v>
      </c>
      <c r="M25" s="3" t="s">
        <v>65</v>
      </c>
      <c r="N25" s="3">
        <v>8</v>
      </c>
      <c r="O25" s="1"/>
      <c r="Q25" s="27" t="s">
        <v>142</v>
      </c>
      <c r="S25" s="18" t="b">
        <f>OR(J25="",COUNTIF($L$2:$L$101,J25)&gt;0,COUNTIF($M$2:$M$101,J25)&gt;0,COUNTIF($O$3:$O$101,J25)&gt;0)</f>
        <v>1</v>
      </c>
      <c r="T25" s="18" t="b">
        <f>OR(J25="",COUNTIF($L$2:$L$101,J25)&gt;0,COUNTIF($M$2:$M$101,J25)&gt;0,COUNTIF($O$3:$O$101,J25)&gt;0)</f>
        <v>1</v>
      </c>
      <c r="U25" s="18" t="b">
        <f>IF($C$7="Basic",S25,IF($C$7="Honors",T25,1))</f>
        <v>1</v>
      </c>
      <c r="V25" s="18">
        <f t="shared" si="0"/>
        <v>0</v>
      </c>
      <c r="W25" s="18">
        <f t="shared" si="1"/>
        <v>0</v>
      </c>
      <c r="X25"/>
    </row>
    <row r="26" spans="1:29" ht="16" x14ac:dyDescent="0.2">
      <c r="A26" s="4" t="str">
        <f>IF(C7="Honors",IF(U26,"Elective","INVALID ELECTIVE"),IF(C7="MBB","Enter CS181 or CS182, or Other",""))</f>
        <v/>
      </c>
      <c r="B26" s="8"/>
      <c r="C26" s="8"/>
      <c r="D26" s="8"/>
      <c r="E26" s="7"/>
      <c r="F26" s="8"/>
      <c r="J26" s="18" t="str">
        <f t="shared" si="3"/>
        <v/>
      </c>
      <c r="K26" s="19" t="b">
        <f t="shared" si="2"/>
        <v>0</v>
      </c>
      <c r="L26" s="3" t="s">
        <v>120</v>
      </c>
      <c r="M26" s="3" t="s">
        <v>66</v>
      </c>
      <c r="N26" s="3">
        <v>8</v>
      </c>
      <c r="O26" s="1"/>
      <c r="Q26" s="27"/>
      <c r="T26" s="18" t="b">
        <f>OR(J26="",COUNTIF($L$2:$L$101,J26)&gt;0,COUNTIF($M$2:$M$101,J26)&gt;0,COUNTIF($O$3:$O$101,J26)&gt;0)</f>
        <v>1</v>
      </c>
      <c r="U26" s="18">
        <f>IF($C$7="Honors",T26,1)</f>
        <v>1</v>
      </c>
      <c r="V26" s="18">
        <f t="shared" si="0"/>
        <v>0</v>
      </c>
      <c r="W26" s="18">
        <f t="shared" si="1"/>
        <v>0</v>
      </c>
      <c r="X26"/>
    </row>
    <row r="27" spans="1:29" ht="16" x14ac:dyDescent="0.2">
      <c r="A27" s="4" t="str">
        <f>IF(B27&lt;&gt;"","Concentration GPA:","")</f>
        <v/>
      </c>
      <c r="B27" s="13" t="str">
        <f>IF(SUM(W11:W27)&gt;0,SUM(V11:V27)/SUM(W11:W27),"")</f>
        <v/>
      </c>
      <c r="C27" s="8"/>
      <c r="D27" s="8"/>
      <c r="J27" s="18" t="str">
        <f t="shared" si="3"/>
        <v/>
      </c>
      <c r="L27" s="3" t="s">
        <v>121</v>
      </c>
      <c r="M27" s="3" t="s">
        <v>67</v>
      </c>
      <c r="N27" s="3">
        <v>8</v>
      </c>
      <c r="O27" s="1"/>
      <c r="Q27" s="27"/>
      <c r="S27" s="22"/>
      <c r="T27" s="22"/>
      <c r="X27"/>
    </row>
    <row r="28" spans="1:29" ht="16" x14ac:dyDescent="0.2">
      <c r="A28" s="4" t="s">
        <v>68</v>
      </c>
      <c r="B28" s="8"/>
      <c r="C28" s="8"/>
      <c r="D28" s="8"/>
      <c r="J28" s="18" t="str">
        <f t="shared" si="3"/>
        <v/>
      </c>
      <c r="L28" s="12" t="s">
        <v>51</v>
      </c>
      <c r="M28" s="3" t="s">
        <v>69</v>
      </c>
      <c r="N28" s="3">
        <v>3</v>
      </c>
      <c r="O28" s="1"/>
      <c r="Q28" s="27"/>
      <c r="X28"/>
    </row>
    <row r="29" spans="1:29" ht="16" x14ac:dyDescent="0.2">
      <c r="A29" s="10"/>
      <c r="B29" s="31"/>
      <c r="C29" s="10"/>
      <c r="D29" s="10"/>
      <c r="L29" s="12" t="s">
        <v>53</v>
      </c>
      <c r="M29" s="3" t="s">
        <v>70</v>
      </c>
      <c r="N29" s="3">
        <v>3</v>
      </c>
      <c r="O29" s="1"/>
      <c r="Q29" s="27"/>
      <c r="V29" s="21"/>
      <c r="X29"/>
    </row>
    <row r="30" spans="1:29" ht="16" x14ac:dyDescent="0.2">
      <c r="A30" s="10"/>
      <c r="B30" s="10"/>
      <c r="C30" s="10"/>
      <c r="D30" s="10"/>
      <c r="L30" s="12" t="s">
        <v>134</v>
      </c>
      <c r="M30" s="3" t="s">
        <v>71</v>
      </c>
      <c r="N30" s="3">
        <v>4</v>
      </c>
      <c r="O30" s="1"/>
      <c r="Q30" s="27"/>
      <c r="X30"/>
      <c r="AC30" s="2" t="s">
        <v>88</v>
      </c>
    </row>
    <row r="31" spans="1:29" ht="16" x14ac:dyDescent="0.2">
      <c r="A31" s="10"/>
      <c r="B31" s="10"/>
      <c r="C31" s="10"/>
      <c r="D31" s="10"/>
      <c r="L31" s="12" t="s">
        <v>135</v>
      </c>
      <c r="M31" s="3" t="s">
        <v>72</v>
      </c>
      <c r="N31" s="3">
        <v>4</v>
      </c>
      <c r="O31" s="1"/>
      <c r="Q31" s="27"/>
      <c r="X31"/>
      <c r="AC31" s="2" t="s">
        <v>119</v>
      </c>
    </row>
    <row r="32" spans="1:29" ht="16" x14ac:dyDescent="0.2">
      <c r="A32" s="8"/>
      <c r="B32" s="8"/>
      <c r="C32" s="8"/>
      <c r="D32" s="8"/>
      <c r="L32" s="12" t="s">
        <v>194</v>
      </c>
      <c r="M32" s="3" t="s">
        <v>76</v>
      </c>
      <c r="N32" s="3">
        <v>4</v>
      </c>
      <c r="O32" s="1"/>
      <c r="Q32" s="27"/>
      <c r="U32" s="2" t="s">
        <v>89</v>
      </c>
      <c r="V32" s="2" t="s">
        <v>90</v>
      </c>
      <c r="W32" s="23">
        <v>4</v>
      </c>
      <c r="X32"/>
      <c r="AC32" s="2" t="s">
        <v>122</v>
      </c>
    </row>
    <row r="33" spans="1:30" ht="16" x14ac:dyDescent="0.2">
      <c r="A33" s="4" t="s">
        <v>74</v>
      </c>
      <c r="B33" s="8"/>
      <c r="C33" s="8"/>
      <c r="D33" s="8"/>
      <c r="L33" s="12"/>
      <c r="M33" s="3" t="s">
        <v>73</v>
      </c>
      <c r="N33" s="3">
        <v>4</v>
      </c>
      <c r="O33" s="1"/>
      <c r="Q33" s="27"/>
      <c r="V33" s="2" t="s">
        <v>91</v>
      </c>
      <c r="W33" s="23">
        <v>3.67</v>
      </c>
      <c r="X33"/>
      <c r="AC33" s="2" t="s">
        <v>128</v>
      </c>
    </row>
    <row r="34" spans="1:30" ht="16" x14ac:dyDescent="0.2">
      <c r="A34" s="11"/>
      <c r="B34" s="35"/>
      <c r="C34" s="11"/>
      <c r="D34" s="11"/>
      <c r="L34" s="12"/>
      <c r="M34" s="3" t="s">
        <v>75</v>
      </c>
      <c r="N34" s="3">
        <v>4</v>
      </c>
      <c r="O34" s="1"/>
      <c r="Q34" s="27"/>
      <c r="V34" s="2" t="s">
        <v>92</v>
      </c>
      <c r="W34" s="23">
        <v>3.33</v>
      </c>
      <c r="X34"/>
      <c r="AC34" s="2" t="s">
        <v>129</v>
      </c>
    </row>
    <row r="35" spans="1:30" ht="16" x14ac:dyDescent="0.2">
      <c r="A35" s="11"/>
      <c r="B35" s="11"/>
      <c r="C35" s="11"/>
      <c r="D35" s="11"/>
      <c r="L35" s="12"/>
      <c r="M35" s="3" t="s">
        <v>79</v>
      </c>
      <c r="N35" s="3">
        <v>4</v>
      </c>
      <c r="O35" s="1"/>
      <c r="Q35" s="27"/>
      <c r="V35" s="2" t="s">
        <v>99</v>
      </c>
      <c r="W35" s="23">
        <v>3</v>
      </c>
      <c r="X35"/>
      <c r="Y35" s="28" t="s">
        <v>146</v>
      </c>
      <c r="Z35" s="28" t="s">
        <v>147</v>
      </c>
      <c r="AC35" s="2" t="s">
        <v>132</v>
      </c>
    </row>
    <row r="36" spans="1:30" ht="16" x14ac:dyDescent="0.2">
      <c r="A36" s="11"/>
      <c r="B36" s="11"/>
      <c r="C36" s="11"/>
      <c r="D36" s="11"/>
      <c r="L36" s="12"/>
      <c r="M36" s="3" t="s">
        <v>77</v>
      </c>
      <c r="N36" s="3">
        <v>4</v>
      </c>
      <c r="O36" s="1"/>
      <c r="Q36" s="27"/>
      <c r="V36" s="2" t="s">
        <v>93</v>
      </c>
      <c r="W36" s="23">
        <v>2.67</v>
      </c>
      <c r="X36"/>
      <c r="Y36" s="29" t="s">
        <v>185</v>
      </c>
      <c r="Z36" s="4" t="str">
        <f>IF(Y11,Z11,IF(Y12,Z12,""))</f>
        <v/>
      </c>
      <c r="AC36" s="2" t="s">
        <v>133</v>
      </c>
    </row>
    <row r="37" spans="1:30" ht="16" x14ac:dyDescent="0.2">
      <c r="L37" s="12"/>
      <c r="M37" s="3" t="s">
        <v>78</v>
      </c>
      <c r="N37" s="3">
        <v>5</v>
      </c>
      <c r="O37" s="1"/>
      <c r="Q37" s="27"/>
      <c r="V37" s="2" t="s">
        <v>94</v>
      </c>
      <c r="W37" s="23">
        <v>2.33</v>
      </c>
      <c r="Y37" s="29" t="s">
        <v>186</v>
      </c>
      <c r="Z37" s="4" t="str">
        <f>IF(Y13,Z13,IF(Y14,Z14,""))</f>
        <v/>
      </c>
      <c r="AC37" s="2" t="s">
        <v>175</v>
      </c>
    </row>
    <row r="38" spans="1:30" ht="16" x14ac:dyDescent="0.2">
      <c r="A38" s="4" t="str">
        <f>_xlfn.CONCAT("Concentration spreadsheet v", LOOKUP(2,1/(AC:AC&lt;&gt;""),AC:AC), " ",  TEXT(LOOKUP(2,1/(AB:AB&lt;&gt;""),AB:AB),"mmm YYYY"))</f>
        <v>Concentration spreadsheet v1.1.5 Sep 2018</v>
      </c>
      <c r="L38" s="12"/>
      <c r="M38" s="3" t="s">
        <v>101</v>
      </c>
      <c r="N38" s="3">
        <v>5</v>
      </c>
      <c r="O38" s="1"/>
      <c r="Q38" s="27"/>
      <c r="V38" s="2" t="s">
        <v>100</v>
      </c>
      <c r="W38" s="23">
        <v>2</v>
      </c>
      <c r="Y38" s="29" t="s">
        <v>183</v>
      </c>
      <c r="Z38" s="4" t="str">
        <f>IF(Y19,Z19,IF(Y15,Z15,IF(Y18,Z18,"")))</f>
        <v/>
      </c>
      <c r="AC38" s="2" t="s">
        <v>187</v>
      </c>
    </row>
    <row r="39" spans="1:30" ht="16" x14ac:dyDescent="0.2">
      <c r="L39" s="12"/>
      <c r="M39" s="3" t="s">
        <v>102</v>
      </c>
      <c r="N39" s="3">
        <v>6</v>
      </c>
      <c r="O39" s="1"/>
      <c r="Q39" s="27"/>
      <c r="V39" s="2" t="s">
        <v>95</v>
      </c>
      <c r="W39" s="23">
        <v>1.67</v>
      </c>
      <c r="Y39" s="29" t="s">
        <v>184</v>
      </c>
      <c r="Z39" s="4" t="str">
        <f>IF(Y16,Z16,IF(Y17,Z17,""))</f>
        <v/>
      </c>
      <c r="AB39" s="44">
        <v>43313</v>
      </c>
      <c r="AC39" s="2" t="s">
        <v>188</v>
      </c>
    </row>
    <row r="40" spans="1:30" ht="16" x14ac:dyDescent="0.2">
      <c r="L40" s="27"/>
      <c r="M40" s="3" t="s">
        <v>103</v>
      </c>
      <c r="N40" s="3">
        <v>6</v>
      </c>
      <c r="Q40" s="27"/>
      <c r="V40" s="2" t="s">
        <v>96</v>
      </c>
      <c r="W40" s="23">
        <v>1.33</v>
      </c>
      <c r="AB40" s="45">
        <v>43330</v>
      </c>
      <c r="AC40" s="2" t="s">
        <v>189</v>
      </c>
    </row>
    <row r="41" spans="1:30" ht="16" x14ac:dyDescent="0.2">
      <c r="L41" s="27"/>
      <c r="M41" s="3" t="s">
        <v>104</v>
      </c>
      <c r="N41" s="3">
        <v>6</v>
      </c>
      <c r="Q41" s="27"/>
      <c r="V41" s="2" t="s">
        <v>98</v>
      </c>
      <c r="W41" s="23">
        <v>1</v>
      </c>
      <c r="AB41" s="49">
        <v>43313</v>
      </c>
      <c r="AC41" s="2" t="s">
        <v>191</v>
      </c>
      <c r="AD41" s="4" t="s">
        <v>192</v>
      </c>
    </row>
    <row r="42" spans="1:30" ht="16" x14ac:dyDescent="0.2">
      <c r="L42" s="27"/>
      <c r="M42" s="3" t="s">
        <v>105</v>
      </c>
      <c r="N42" s="3">
        <v>6</v>
      </c>
      <c r="Q42" s="27"/>
      <c r="V42" s="2" t="s">
        <v>97</v>
      </c>
      <c r="W42" s="23">
        <v>0.67</v>
      </c>
      <c r="AB42" s="49">
        <v>43344</v>
      </c>
      <c r="AC42" s="2" t="s">
        <v>195</v>
      </c>
      <c r="AD42" s="4" t="s">
        <v>196</v>
      </c>
    </row>
    <row r="43" spans="1:30" ht="16" x14ac:dyDescent="0.2">
      <c r="L43" s="27"/>
      <c r="M43" s="3" t="s">
        <v>106</v>
      </c>
      <c r="N43" s="3">
        <v>6</v>
      </c>
      <c r="Q43" s="27"/>
      <c r="AB43" s="49"/>
    </row>
    <row r="44" spans="1:30" ht="16" x14ac:dyDescent="0.2">
      <c r="L44" s="27"/>
      <c r="M44" s="24" t="s">
        <v>107</v>
      </c>
      <c r="N44" s="24">
        <v>7</v>
      </c>
      <c r="Q44" s="27"/>
      <c r="AB44" s="49"/>
    </row>
    <row r="45" spans="1:30" ht="16" customHeight="1" x14ac:dyDescent="0.2">
      <c r="L45" s="27"/>
      <c r="M45" s="24" t="s">
        <v>108</v>
      </c>
      <c r="N45" s="24">
        <v>7</v>
      </c>
      <c r="Q45" s="27"/>
      <c r="AB45" s="49"/>
    </row>
    <row r="46" spans="1:30" ht="16" customHeight="1" x14ac:dyDescent="0.2">
      <c r="L46" s="27"/>
      <c r="M46" s="24" t="s">
        <v>109</v>
      </c>
      <c r="N46" s="24">
        <v>7</v>
      </c>
      <c r="AB46" s="49"/>
    </row>
    <row r="47" spans="1:30" ht="16" customHeight="1" x14ac:dyDescent="0.2">
      <c r="L47" s="27"/>
      <c r="M47" s="24" t="s">
        <v>110</v>
      </c>
      <c r="N47" s="24">
        <v>8</v>
      </c>
      <c r="AB47" s="49"/>
    </row>
    <row r="48" spans="1:30" ht="16" customHeight="1" x14ac:dyDescent="0.2">
      <c r="L48" s="27"/>
      <c r="M48" s="24" t="s">
        <v>111</v>
      </c>
      <c r="N48" s="24">
        <v>8</v>
      </c>
      <c r="AB48" s="49"/>
    </row>
    <row r="49" spans="12:28" ht="16" customHeight="1" x14ac:dyDescent="0.2">
      <c r="L49" s="27"/>
      <c r="M49" s="24" t="s">
        <v>112</v>
      </c>
      <c r="N49" s="24">
        <v>8</v>
      </c>
      <c r="AB49" s="49"/>
    </row>
    <row r="50" spans="12:28" ht="16" customHeight="1" x14ac:dyDescent="0.2">
      <c r="L50" s="27"/>
      <c r="M50" s="24" t="s">
        <v>113</v>
      </c>
      <c r="N50" s="24">
        <v>8</v>
      </c>
      <c r="AB50" s="49"/>
    </row>
    <row r="51" spans="12:28" ht="16" customHeight="1" x14ac:dyDescent="0.2">
      <c r="L51" s="27"/>
      <c r="M51" s="24" t="s">
        <v>114</v>
      </c>
      <c r="N51" s="24">
        <v>8</v>
      </c>
      <c r="AB51" s="49"/>
    </row>
    <row r="52" spans="12:28" ht="16" customHeight="1" x14ac:dyDescent="0.2">
      <c r="L52" s="27"/>
      <c r="M52" s="24" t="s">
        <v>115</v>
      </c>
      <c r="N52" s="24">
        <v>8</v>
      </c>
      <c r="AB52" s="49"/>
    </row>
    <row r="53" spans="12:28" ht="16" customHeight="1" x14ac:dyDescent="0.2">
      <c r="L53" s="27"/>
      <c r="M53" s="24" t="s">
        <v>116</v>
      </c>
      <c r="N53" s="24">
        <v>8</v>
      </c>
      <c r="AB53" s="49"/>
    </row>
    <row r="54" spans="12:28" ht="16" customHeight="1" x14ac:dyDescent="0.2">
      <c r="L54" s="27"/>
      <c r="M54" s="24" t="s">
        <v>117</v>
      </c>
      <c r="N54" s="24">
        <v>8</v>
      </c>
    </row>
    <row r="55" spans="12:28" ht="16" customHeight="1" x14ac:dyDescent="0.2">
      <c r="L55" s="27"/>
      <c r="M55" s="24" t="s">
        <v>118</v>
      </c>
      <c r="N55" s="24">
        <v>8</v>
      </c>
    </row>
    <row r="56" spans="12:28" x14ac:dyDescent="0.15">
      <c r="L56" s="27"/>
      <c r="M56" s="2" t="s">
        <v>124</v>
      </c>
      <c r="N56" s="2">
        <v>4</v>
      </c>
    </row>
    <row r="57" spans="12:28" x14ac:dyDescent="0.15">
      <c r="L57" s="27"/>
      <c r="M57" s="2" t="s">
        <v>125</v>
      </c>
      <c r="N57" s="2">
        <v>4</v>
      </c>
    </row>
    <row r="58" spans="12:28" x14ac:dyDescent="0.15">
      <c r="L58" s="27"/>
      <c r="M58" s="2" t="s">
        <v>126</v>
      </c>
      <c r="N58" s="2">
        <v>3</v>
      </c>
    </row>
    <row r="59" spans="12:28" x14ac:dyDescent="0.15">
      <c r="L59" s="27"/>
      <c r="M59" s="2" t="s">
        <v>193</v>
      </c>
      <c r="N59" s="2">
        <v>4</v>
      </c>
    </row>
    <row r="60" spans="12:28" x14ac:dyDescent="0.15">
      <c r="L60" s="27"/>
      <c r="M60" s="2" t="s">
        <v>197</v>
      </c>
      <c r="N60" s="2">
        <v>8</v>
      </c>
    </row>
    <row r="61" spans="12:28" x14ac:dyDescent="0.15">
      <c r="L61" s="27"/>
    </row>
    <row r="62" spans="12:28" x14ac:dyDescent="0.15">
      <c r="L62" s="27"/>
    </row>
    <row r="63" spans="12:28" x14ac:dyDescent="0.15">
      <c r="L63" s="27"/>
    </row>
    <row r="64" spans="12:28" x14ac:dyDescent="0.15">
      <c r="L64" s="27"/>
    </row>
  </sheetData>
  <sheetProtection algorithmName="SHA-512" hashValue="2jymts9ObpyLm2zK5YW9IJ/J79IiMrCLtUOjM0x3TzjG6iLT4LjkQrxETZeDHdUys77KXCuuU7jT5psAWnsK9g==" saltValue="AASUBtTKqQvcTODpymwW0Q==" spinCount="100000" sheet="1" objects="1" scenarios="1"/>
  <phoneticPr fontId="5" type="noConversion"/>
  <conditionalFormatting sqref="B24:B25">
    <cfRule type="expression" dxfId="19" priority="2" stopIfTrue="1">
      <formula>$C$7&lt;&gt;"Joint"</formula>
    </cfRule>
  </conditionalFormatting>
  <conditionalFormatting sqref="B26">
    <cfRule type="expression" dxfId="18" priority="3" stopIfTrue="1">
      <formula>OR($C$7="Honors",$C$7="MBB")</formula>
    </cfRule>
  </conditionalFormatting>
  <conditionalFormatting sqref="B27">
    <cfRule type="cellIs" dxfId="17" priority="4" stopIfTrue="1" operator="notEqual">
      <formula>""</formula>
    </cfRule>
  </conditionalFormatting>
  <conditionalFormatting sqref="C8:D8">
    <cfRule type="expression" dxfId="16" priority="5" stopIfTrue="1">
      <formula>C7="Joint"</formula>
    </cfRule>
  </conditionalFormatting>
  <conditionalFormatting sqref="C9:D9">
    <cfRule type="expression" dxfId="15" priority="6" stopIfTrue="1">
      <formula>C7="Joint"</formula>
    </cfRule>
  </conditionalFormatting>
  <conditionalFormatting sqref="C22:D22">
    <cfRule type="expression" dxfId="14" priority="7" stopIfTrue="1">
      <formula>AND($C$7&lt;&gt;"",$C$7&lt;&gt;"Basic")</formula>
    </cfRule>
  </conditionalFormatting>
  <conditionalFormatting sqref="A6 A16 A19 A23">
    <cfRule type="cellIs" dxfId="13" priority="8" stopIfTrue="1" operator="notEqual">
      <formula>""</formula>
    </cfRule>
  </conditionalFormatting>
  <conditionalFormatting sqref="C24:D24">
    <cfRule type="expression" dxfId="12" priority="9" stopIfTrue="1">
      <formula>$C$7&lt;&gt;"Joint"</formula>
    </cfRule>
  </conditionalFormatting>
  <conditionalFormatting sqref="C25:D25">
    <cfRule type="expression" dxfId="11" priority="10" stopIfTrue="1">
      <formula>$C$7&lt;&gt;"Joint"</formula>
    </cfRule>
  </conditionalFormatting>
  <conditionalFormatting sqref="C26:D26">
    <cfRule type="expression" dxfId="10" priority="11" stopIfTrue="1">
      <formula>OR($C$7="Honors",$C$7="MBB")</formula>
    </cfRule>
  </conditionalFormatting>
  <conditionalFormatting sqref="F11">
    <cfRule type="expression" dxfId="9" priority="12" stopIfTrue="1">
      <formula>$C$11="Other"</formula>
    </cfRule>
  </conditionalFormatting>
  <conditionalFormatting sqref="F12">
    <cfRule type="expression" dxfId="8" priority="13" stopIfTrue="1">
      <formula>$C$12="Other"</formula>
    </cfRule>
  </conditionalFormatting>
  <conditionalFormatting sqref="F14">
    <cfRule type="expression" dxfId="7" priority="14" stopIfTrue="1">
      <formula>$C$14="Other"</formula>
    </cfRule>
  </conditionalFormatting>
  <conditionalFormatting sqref="F15">
    <cfRule type="expression" dxfId="6" priority="15" stopIfTrue="1">
      <formula>$C$15="Other"</formula>
    </cfRule>
  </conditionalFormatting>
  <conditionalFormatting sqref="F17">
    <cfRule type="expression" dxfId="5" priority="16" stopIfTrue="1">
      <formula>$C$17="Other"</formula>
    </cfRule>
  </conditionalFormatting>
  <conditionalFormatting sqref="F18">
    <cfRule type="expression" dxfId="4" priority="17" stopIfTrue="1">
      <formula>C18="Other"</formula>
    </cfRule>
  </conditionalFormatting>
  <conditionalFormatting sqref="A24:A26">
    <cfRule type="cellIs" dxfId="3" priority="18" stopIfTrue="1" operator="equal">
      <formula>"INVALID ELECTIVE"</formula>
    </cfRule>
  </conditionalFormatting>
  <conditionalFormatting sqref="A27">
    <cfRule type="expression" dxfId="2" priority="19" stopIfTrue="1">
      <formula>$B$27&lt;&gt;""</formula>
    </cfRule>
  </conditionalFormatting>
  <conditionalFormatting sqref="B22">
    <cfRule type="expression" dxfId="1" priority="20" stopIfTrue="1">
      <formula>AND($C$7&lt;&gt;"",$C$7&lt;&gt;"Basic")</formula>
    </cfRule>
  </conditionalFormatting>
  <conditionalFormatting sqref="A13">
    <cfRule type="cellIs" dxfId="0" priority="1" stopIfTrue="1" operator="notEqual">
      <formula>""</formula>
    </cfRule>
  </conditionalFormatting>
  <dataValidations count="14">
    <dataValidation type="list" operator="equal" allowBlank="1" showErrorMessage="1" sqref="C7" xr:uid="{00000000-0002-0000-0000-000000000000}">
      <formula1>"Basic,Honors,Joint,MBB"</formula1>
      <formula2>0</formula2>
    </dataValidation>
    <dataValidation operator="equal" allowBlank="1" showErrorMessage="1" sqref="C8:D8" xr:uid="{00000000-0002-0000-0000-000001000000}">
      <formula1>0</formula1>
      <formula2>0</formula2>
    </dataValidation>
    <dataValidation type="list" operator="equal" allowBlank="1" showErrorMessage="1" sqref="C9" xr:uid="{00000000-0002-0000-0000-000002000000}">
      <formula1>"Primary,Allied,"</formula1>
    </dataValidation>
    <dataValidation type="list" operator="equal" allowBlank="1" showErrorMessage="1" sqref="B11:B12" xr:uid="{00000000-0002-0000-0000-000003000000}">
      <formula1>"A,A-,B+,B,B-,C+,C,C-,D+,D,D-,SAT,"</formula1>
      <formula2>0</formula2>
    </dataValidation>
    <dataValidation type="list" operator="equal" allowBlank="1" showErrorMessage="1" sqref="C11" xr:uid="{00000000-0002-0000-0000-000004000000}">
      <formula1>"Stat 110,Math 21a,AM 21a,Math 22a,Math 23b,Math 23c,Math 25b,Math 55b,Math 1a+1b+CS20 (Class of 2019 and 2020 only),Other"</formula1>
    </dataValidation>
    <dataValidation type="list" operator="equal" allowBlank="1" showErrorMessage="1" sqref="C12" xr:uid="{00000000-0002-0000-0000-000005000000}">
      <formula1>"Math 21b,AM 21b,Math 22b,Math 23a,Math 25a,Math 55a,Other"</formula1>
    </dataValidation>
    <dataValidation type="list" operator="equal" allowBlank="1" sqref="B14:B15 B24:B26 B20:B22 B17:B18" xr:uid="{00000000-0002-0000-0000-000006000000}">
      <formula1>"A,A-,B+,B,B-,C+,C,C-,D+,D,D-,SAT,"</formula1>
      <formula2>0</formula2>
    </dataValidation>
    <dataValidation type="list" operator="equal" allowBlank="1" showErrorMessage="1" sqref="C14:C15" xr:uid="{00000000-0002-0000-0000-000007000000}">
      <formula1>"CS50,CS51,CS61,Other"</formula1>
      <formula2>0</formula2>
    </dataValidation>
    <dataValidation type="list" operator="equal" allowBlank="1" showErrorMessage="1" sqref="C17" xr:uid="{00000000-0002-0000-0000-000008000000}">
      <formula1>"CS121,CS221,Other"</formula1>
    </dataValidation>
    <dataValidation type="list" allowBlank="1" showInputMessage="1" showErrorMessage="1" sqref="C3" xr:uid="{00000000-0002-0000-0000-000009000000}">
      <formula1>"Sophomore,Junior,Senior,Freshman,Other"</formula1>
    </dataValidation>
    <dataValidation operator="equal" allowBlank="1" showErrorMessage="1" sqref="D7 D9" xr:uid="{A3EE43C1-5B8D-9445-BAE2-2AF5E2A7BD8A}"/>
    <dataValidation type="list" operator="equal" allowBlank="1" showErrorMessage="1" sqref="D11 D24:D25 D20:D21 D14:D15 D17" xr:uid="{1625540C-E452-704D-839B-F657F13BD1F4}">
      <formula1>$Q$5:$Q$25</formula1>
    </dataValidation>
    <dataValidation type="list" allowBlank="1" showInputMessage="1" showErrorMessage="1" sqref="D22 D26 D12 D18" xr:uid="{A90CE4CC-1BDA-AA41-A24F-E9F2BFA0851E}">
      <formula1>$Q$5:$Q$25</formula1>
    </dataValidation>
    <dataValidation type="list" allowBlank="1" showInputMessage="1" showErrorMessage="1" sqref="C4" xr:uid="{AD975BB7-C846-4C40-B0C9-9FED766149E3}">
      <formula1>"Declare CS concentration,Update study plan"</formula1>
    </dataValidation>
  </dataValidations>
  <pageMargins left="0.79" right="0.79" top="1.03" bottom="1.03" header="0.79" footer="0.79"/>
  <pageSetup scale="63" orientation="portrait" useFirstPageNumber="1" horizontalDpi="300" verticalDpi="300" r:id="rId1"/>
  <headerFooter>
    <oddHeader>&amp;CHarvard Computer Science Plan of Study</oddHeader>
    <oddFooter>&amp;CPage &amp;P&amp;R&amp;D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Chong</cp:lastModifiedBy>
  <cp:lastPrinted>2017-07-03T20:52:35Z</cp:lastPrinted>
  <dcterms:created xsi:type="dcterms:W3CDTF">2017-07-03T17:38:18Z</dcterms:created>
  <dcterms:modified xsi:type="dcterms:W3CDTF">2018-09-11T02:06:51Z</dcterms:modified>
</cp:coreProperties>
</file>